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daa9bb0c4d08220/Documents/00 - AUXILIARY/00 2019 SO-NS/MANUALS/D7 MANUALS/"/>
    </mc:Choice>
  </mc:AlternateContent>
  <xr:revisionPtr revIDLastSave="101" documentId="8_{514CA96B-48F9-4359-8D96-9A02111A653B}" xr6:coauthVersionLast="47" xr6:coauthVersionMax="47" xr10:uidLastSave="{BDDB8635-F98A-42FD-B48E-4F27BD740DBB}"/>
  <workbookProtection workbookAlgorithmName="SHA-512" workbookHashValue="ZX7JBbzV2fGxaNvdx0b65P+I6iFXDBYqqXT22D4q00svlnTXG+eVOi/M/Y9AqqxHuvg9asecsjvqGHzIff06lw==" workbookSaltValue="8TNni9QsIU0hhv6EFqeRnA==" workbookSpinCount="100000" lockStructure="1"/>
  <bookViews>
    <workbookView xWindow="-28920" yWindow="-120" windowWidth="29040" windowHeight="15840" xr2:uid="{BC883680-32F4-445D-8D2F-B911D514B8FE}"/>
  </bookViews>
  <sheets>
    <sheet name="Distance &amp; Bearing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2" l="1" a="1"/>
  <c r="D23" i="2" s="1"/>
  <c r="B19" i="1"/>
  <c r="D2" i="1" s="1"/>
  <c r="B16" i="1"/>
  <c r="B2" i="1" s="1"/>
  <c r="B18" i="1"/>
  <c r="C2" i="1" s="1"/>
  <c r="B15" i="1"/>
  <c r="A2" i="1" s="1"/>
  <c r="H2" i="1" l="1"/>
  <c r="G2" i="1"/>
  <c r="F2" i="1"/>
  <c r="E2" i="1"/>
  <c r="Q2" i="1" l="1"/>
  <c r="R2" i="1" s="1"/>
  <c r="J2" i="1"/>
  <c r="I2" i="1"/>
  <c r="L2" i="1" l="1"/>
  <c r="M2" i="1" s="1"/>
  <c r="N2" i="1" s="1"/>
  <c r="P2" i="1" l="1"/>
  <c r="D19" i="2" a="1"/>
  <c r="D19" i="2" s="1"/>
  <c r="O2" i="1" l="1"/>
  <c r="D20" i="2" s="1" a="1"/>
  <c r="D20" i="2" s="1"/>
  <c r="D21" i="2" a="1"/>
  <c r="D2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<sst xmlns="http://schemas.openxmlformats.org/spreadsheetml/2006/main" count="66" uniqueCount="52">
  <si>
    <t>Column3</t>
  </si>
  <si>
    <t>Column4</t>
  </si>
  <si>
    <t>Column21</t>
  </si>
  <si>
    <t>Column22</t>
  </si>
  <si>
    <t>Column23</t>
  </si>
  <si>
    <t>Column24</t>
  </si>
  <si>
    <t>Column25</t>
  </si>
  <si>
    <t>Lat 1 Deg</t>
  </si>
  <si>
    <t>Lon 1 Deg</t>
  </si>
  <si>
    <t>Lat 2 Deg</t>
  </si>
  <si>
    <t>Lon 2 Deg</t>
  </si>
  <si>
    <t>Lat 1 Rad</t>
  </si>
  <si>
    <t>Lon 1 Rad</t>
  </si>
  <si>
    <t>Lat 2 Rad</t>
  </si>
  <si>
    <t>Lon 2 Rad</t>
  </si>
  <si>
    <t>Del Lat Rad</t>
  </si>
  <si>
    <t>Del Lon Rad</t>
  </si>
  <si>
    <t>R nm</t>
  </si>
  <si>
    <t>a</t>
  </si>
  <si>
    <t>c</t>
  </si>
  <si>
    <t>nm</t>
  </si>
  <si>
    <t>yds</t>
  </si>
  <si>
    <t>ft</t>
  </si>
  <si>
    <t>Brg</t>
  </si>
  <si>
    <t>Brg T</t>
  </si>
  <si>
    <t>POSITION 1:</t>
  </si>
  <si>
    <t>POSITION 2:</t>
  </si>
  <si>
    <t>LATITUDE</t>
  </si>
  <si>
    <t>LONGITUDE</t>
  </si>
  <si>
    <t>Degrees</t>
  </si>
  <si>
    <t>Minutes</t>
  </si>
  <si>
    <t>Seconds</t>
  </si>
  <si>
    <t>Enter:</t>
  </si>
  <si>
    <t>DD.DDDD</t>
  </si>
  <si>
    <t>or</t>
  </si>
  <si>
    <t>Degrees - Minutes</t>
  </si>
  <si>
    <t>Degrees - Minutes - Seconds</t>
  </si>
  <si>
    <t>DD-MM.MMMM</t>
  </si>
  <si>
    <t>DD-MM-SS.SSSS</t>
  </si>
  <si>
    <t>Enter West Longitude as Positive</t>
  </si>
  <si>
    <t>DISTANCE FROM 1 TO 2:</t>
  </si>
  <si>
    <t>yards</t>
  </si>
  <si>
    <t>feet</t>
  </si>
  <si>
    <t>°T</t>
  </si>
  <si>
    <t>Lat 1</t>
  </si>
  <si>
    <t>Lon 1</t>
  </si>
  <si>
    <t>Lat 2</t>
  </si>
  <si>
    <t>Lon 2</t>
  </si>
  <si>
    <t>BEARING FROM 1 To 2:</t>
  </si>
  <si>
    <t>D7NS 1011                       DISTANCE and BEARING BETWEEN TWO POSITIONS</t>
  </si>
  <si>
    <t xml:space="preserve">D7NS 1011    SEPTEMBER 12, 2022                  </t>
  </si>
  <si>
    <t>U.S.C.G. AUXILIARY SEVENTH DISTRICT NAVIGATION SYSTEMS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</si>
</sst>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000"/>
    <numFmt numFmtId="165" formatCode="0.0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8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6633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99"/>
      <name val="Calibri"/>
      <family val="2"/>
      <scheme val="minor"/>
    </font>
    <font>
      <sz val="10"/>
      <color theme="0"/>
      <name val="Lucida Console"/>
      <family val="3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2" fontId="5" fillId="0" borderId="0" xfId="0" applyNumberFormat="1" applyFont="1"/>
    <xf numFmtId="3" fontId="5" fillId="0" borderId="0" xfId="0" applyNumberFormat="1" applyFont="1"/>
    <xf numFmtId="39" fontId="5" fillId="0" borderId="0" xfId="0" applyNumberFormat="1" applyFont="1"/>
    <xf numFmtId="165" fontId="5" fillId="3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Font="1"/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Protection="1">
      <protection hidden="1"/>
    </xf>
    <xf numFmtId="0" fontId="3" fillId="0" borderId="0" xfId="0" applyFont="1"/>
    <xf numFmtId="0" fontId="12" fillId="0" borderId="0" xfId="0" applyFont="1" applyProtection="1">
      <protection hidden="1"/>
    </xf>
    <xf numFmtId="164" fontId="3" fillId="0" borderId="0" xfId="0" applyNumberFormat="1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65" fontId="3" fillId="0" borderId="0" xfId="0" applyNumberFormat="1" applyFont="1" applyProtection="1">
      <protection hidden="1"/>
    </xf>
    <xf numFmtId="165" fontId="3" fillId="4" borderId="1" xfId="0" applyNumberFormat="1" applyFont="1" applyFill="1" applyBorder="1" applyAlignment="1" applyProtection="1">
      <alignment horizontal="center"/>
      <protection hidden="1"/>
    </xf>
    <xf numFmtId="165" fontId="3" fillId="5" borderId="1" xfId="0" applyNumberFormat="1" applyFont="1" applyFill="1" applyBorder="1" applyProtection="1">
      <protection hidden="1"/>
    </xf>
    <xf numFmtId="0" fontId="3" fillId="5" borderId="0" xfId="0" applyFont="1" applyFill="1" applyProtection="1">
      <protection hidden="1"/>
    </xf>
    <xf numFmtId="2" fontId="3" fillId="5" borderId="0" xfId="0" applyNumberFormat="1" applyFont="1" applyFill="1" applyProtection="1">
      <protection hidden="1"/>
    </xf>
    <xf numFmtId="1" fontId="3" fillId="5" borderId="0" xfId="0" applyNumberFormat="1" applyFont="1" applyFill="1" applyProtection="1">
      <protection hidden="1"/>
    </xf>
    <xf numFmtId="0" fontId="12" fillId="5" borderId="0" xfId="0" applyFont="1" applyFill="1" applyProtection="1">
      <protection hidden="1"/>
    </xf>
    <xf numFmtId="2" fontId="3" fillId="5" borderId="0" xfId="0" applyNumberFormat="1" applyFont="1" applyFill="1" applyAlignment="1" applyProtection="1">
      <alignment horizontal="center"/>
      <protection hidden="1"/>
    </xf>
    <xf numFmtId="0" fontId="3" fillId="5" borderId="0" xfId="0" applyFont="1" applyFill="1"/>
    <xf numFmtId="0" fontId="10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27"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numFmt numFmtId="2" formatCode="0.00"/>
      <fill>
        <patternFill patternType="solid">
          <bgColor theme="0"/>
        </patternFill>
      </fill>
      <alignment horizontal="center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Lucida Console"/>
        <family val="3"/>
        <scheme val="none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numFmt numFmtId="2" formatCode="0.00"/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numFmt numFmtId="1" formatCode="0"/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numFmt numFmtId="2" formatCode="0.00"/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bgColor theme="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bgColor theme="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bgColor theme="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bgColor theme="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color theme="0"/>
      </font>
      <fill>
        <patternFill patternType="solid">
          <bgColor theme="0"/>
        </patternFill>
      </fill>
      <protection locked="1" hidden="1"/>
    </dxf>
    <dxf>
      <font>
        <strike val="0"/>
        <outline val="0"/>
        <shadow val="0"/>
        <u val="none"/>
        <vertAlign val="baseline"/>
        <color theme="0"/>
      </font>
      <protection locked="1" hidden="1"/>
    </dxf>
  </dxfs>
  <tableStyles count="0" defaultTableStyle="TableStyleMedium2" defaultPivotStyle="PivotStyleLight16"/>
  <colors>
    <mruColors>
      <color rgb="FFFFFF99"/>
      <color rgb="FF000099"/>
      <color rgb="FF0000FF"/>
      <color rgb="FF6633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68840A-0860-429B-9852-A5AE18E9864E}" name="Table1" displayName="Table1" ref="A1:Y2" totalsRowShown="0" headerRowDxfId="26" dataDxfId="25">
  <autoFilter ref="A1:Y2" xr:uid="{CF68840A-0860-429B-9852-A5AE18E9864E}"/>
  <tableColumns count="25">
    <tableColumn id="1" xr3:uid="{E01BF8DB-A874-4352-B9FA-9F0194901256}" name="Lat 1 Deg" dataDxfId="24">
      <calculatedColumnFormula>B15</calculatedColumnFormula>
    </tableColumn>
    <tableColumn id="2" xr3:uid="{931D21C1-042E-4A1D-B371-595CFBCEF096}" name="Lon 1 Deg" dataDxfId="23">
      <calculatedColumnFormula>B16</calculatedColumnFormula>
    </tableColumn>
    <tableColumn id="3" xr3:uid="{2AA62C04-A3ED-4413-A797-4EB3070EBB40}" name="Lat 2 Deg" dataDxfId="22">
      <calculatedColumnFormula>B18</calculatedColumnFormula>
    </tableColumn>
    <tableColumn id="4" xr3:uid="{32AB499E-FFE8-4C25-801F-89C70854FE04}" name="Lon 2 Deg" dataDxfId="21">
      <calculatedColumnFormula>B19</calculatedColumnFormula>
    </tableColumn>
    <tableColumn id="5" xr3:uid="{BE72F3D8-E29C-44FE-B326-5BD93847AC0D}" name="Lat 1 Rad" dataDxfId="20">
      <calculatedColumnFormula>Table1[[#This Row],[Lat 1 Deg]]*PI()/180</calculatedColumnFormula>
    </tableColumn>
    <tableColumn id="6" xr3:uid="{07087F52-4D23-4C58-92CF-687F61A8ED75}" name="Lon 1 Rad" dataDxfId="19">
      <calculatedColumnFormula>Table1[[#This Row],[Lon 1 Deg]]*PI()/180</calculatedColumnFormula>
    </tableColumn>
    <tableColumn id="7" xr3:uid="{E78AC6B3-A8DB-4BD4-9492-FFEF3470F625}" name="Lat 2 Rad" dataDxfId="18">
      <calculatedColumnFormula>Table1[[#This Row],[Lat 2 Deg]]*PI()/180</calculatedColumnFormula>
    </tableColumn>
    <tableColumn id="8" xr3:uid="{B510C666-1D1E-4199-893E-4ADCB8599B1F}" name="Lon 2 Rad" dataDxfId="17">
      <calculatedColumnFormula>Table1[[#This Row],[Lon 2 Deg]]*PI()/180</calculatedColumnFormula>
    </tableColumn>
    <tableColumn id="9" xr3:uid="{9033164C-2068-4292-BB69-3A30F17048B0}" name="Del Lat Rad" dataDxfId="16">
      <calculatedColumnFormula>Table1[[#This Row],[Lat 2 Rad]]-Table1[[#This Row],[Lat 1 Rad]]</calculatedColumnFormula>
    </tableColumn>
    <tableColumn id="10" xr3:uid="{0CDF599A-3FEC-4E95-89A0-F196A1A4B33C}" name="Del Lon Rad" dataDxfId="15">
      <calculatedColumnFormula>Table1[[#This Row],[Lon 2 Rad]]-Table1[[#This Row],[Lon 1 Rad]]</calculatedColumnFormula>
    </tableColumn>
    <tableColumn id="11" xr3:uid="{9F327E93-1861-4D64-9F39-FE051CCDB99D}" name="R nm" dataDxfId="14"/>
    <tableColumn id="12" xr3:uid="{A31BD51B-7E49-4BB3-9381-131DE865ED53}" name="a" dataDxfId="13">
      <calculatedColumnFormula>(SIN(Table1[[#This Row],[Del Lat Rad]]/2))^2+COS(Table1[[#This Row],[Lat 1 Rad]])*COS(Table1[[#This Row],[Lat 2 Rad]])*(SIN(Table1[[#This Row],[Del Lon Rad]]/2))^2</calculatedColumnFormula>
    </tableColumn>
    <tableColumn id="13" xr3:uid="{22DA48B9-2A1B-4047-BF8A-8D517C3E0C22}" name="c" dataDxfId="12">
      <calculatedColumnFormula>2*ATAN2(SQRT(1-Table1[[#This Row],[a]]),SQRT(Table1[[#This Row],[a]]))</calculatedColumnFormula>
    </tableColumn>
    <tableColumn id="14" xr3:uid="{93EA9361-1766-4BF5-B876-D90799EE2DCE}" name="nm" dataDxfId="11">
      <calculatedColumnFormula>Table1[[#This Row],[c]]*Table1[[#This Row],[R nm]]</calculatedColumnFormula>
    </tableColumn>
    <tableColumn id="15" xr3:uid="{8C6FEB3B-ED0F-4791-869E-51A3C0A7952D}" name="yds" dataDxfId="10">
      <calculatedColumnFormula>Table1[[#This Row],[ft]]/3</calculatedColumnFormula>
    </tableColumn>
    <tableColumn id="16" xr3:uid="{EC5ADF66-A257-4ADC-BB75-A95D3FC1E065}" name="ft" dataDxfId="9">
      <calculatedColumnFormula>Table1[[#This Row],[nm]]*6076.11549</calculatedColumnFormula>
    </tableColumn>
    <tableColumn id="17" xr3:uid="{721A8AE5-1DDC-4361-B78E-0A088D218DA9}" name="Brg" dataDxfId="8">
      <calculatedColumnFormula>MOD(ATAN2((COS(Table1[[#This Row],[Lat 1 Rad]])*SIN(Table1[[#This Row],[Lat 2 Rad]]))-(SIN(Table1[[#This Row],[Lat 1 Rad]])*COS(Table1[[#This Row],[Lat 2 Rad]])*COS(Table1[[#This Row],[Lon 2 Rad]]-Table1[[#This Row],[Lon 1 Rad]])), SIN(Table1[[#This Row],[Lon 2 Rad]]-Table1[[#This Row],[Lon 1 Rad]])*COS(Table1[[#This Row],[Lat 2 Rad]])),2*PI())</calculatedColumnFormula>
    </tableColumn>
    <tableColumn id="18" xr3:uid="{F08BA10B-D446-4673-BCCF-101FDC1CE432}" name="Brg T" dataDxfId="7">
      <calculatedColumnFormula>Table1[[#This Row],[Brg]]*180/PI()</calculatedColumnFormula>
    </tableColumn>
    <tableColumn id="19" xr3:uid="{D83564EA-0410-4E94-9982-0B05A11C6904}" name="Column3" dataDxfId="6"/>
    <tableColumn id="20" xr3:uid="{EFA8EE9C-428D-4EBA-AE5A-8784818E37D1}" name="Column4" dataDxfId="5"/>
    <tableColumn id="21" xr3:uid="{0DCD66C7-0D6A-4C7C-9992-3940908D9F68}" name="Column21" dataDxfId="4"/>
    <tableColumn id="22" xr3:uid="{27A88108-52F9-4292-AA9B-7474CBDE2BE8}" name="Column22" dataDxfId="3"/>
    <tableColumn id="23" xr3:uid="{9A0BDCE3-5075-449E-89DA-83464CBA5CBE}" name="Column23" dataDxfId="2"/>
    <tableColumn id="24" xr3:uid="{5F460763-4FD4-47D1-8CC2-7B5DA4E4B1A0}" name="Column24" dataDxfId="1"/>
    <tableColumn id="25" xr3:uid="{EE1D89C1-6270-4658-BCAD-80AC7116FF5A}" name="Column25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C715D-815D-4D07-9EE9-F75BA4464CF0}">
  <sheetPr>
    <tabColor rgb="FF92D050"/>
  </sheetPr>
  <dimension ref="A1:H46"/>
  <sheetViews>
    <sheetView tabSelected="1" workbookViewId="0">
      <selection activeCell="H12" sqref="H12"/>
    </sheetView>
  </sheetViews>
  <sheetFormatPr defaultRowHeight="14.25" x14ac:dyDescent="0.45"/>
  <cols>
    <col min="1" max="1" width="13.59765625" customWidth="1"/>
    <col min="2" max="2" width="11.73046875" customWidth="1"/>
    <col min="3" max="3" width="11.06640625" customWidth="1"/>
    <col min="4" max="4" width="10.265625" customWidth="1"/>
    <col min="5" max="5" width="8.3984375" customWidth="1"/>
    <col min="6" max="6" width="10.53125" customWidth="1"/>
    <col min="7" max="7" width="10.6640625" customWidth="1"/>
    <col min="8" max="8" width="11.19921875" customWidth="1"/>
  </cols>
  <sheetData>
    <row r="1" spans="1:8" ht="18" x14ac:dyDescent="0.55000000000000004">
      <c r="A1" s="27" t="s">
        <v>49</v>
      </c>
      <c r="B1" s="27"/>
      <c r="C1" s="27"/>
      <c r="D1" s="27"/>
      <c r="E1" s="27"/>
      <c r="F1" s="27"/>
      <c r="G1" s="27"/>
      <c r="H1" s="27"/>
    </row>
    <row r="3" spans="1:8" ht="20.25" customHeight="1" x14ac:dyDescent="0.45">
      <c r="A3" s="32" t="s">
        <v>32</v>
      </c>
      <c r="B3" s="32"/>
      <c r="C3" s="32"/>
      <c r="D3" s="32"/>
      <c r="E3" s="32"/>
    </row>
    <row r="4" spans="1:8" x14ac:dyDescent="0.45">
      <c r="A4" s="29" t="s">
        <v>29</v>
      </c>
      <c r="B4" s="29"/>
      <c r="C4" s="33" t="s">
        <v>33</v>
      </c>
      <c r="D4" s="33"/>
      <c r="E4" s="3"/>
    </row>
    <row r="5" spans="1:8" x14ac:dyDescent="0.45">
      <c r="A5" s="28" t="s">
        <v>34</v>
      </c>
      <c r="B5" s="28"/>
    </row>
    <row r="6" spans="1:8" x14ac:dyDescent="0.45">
      <c r="A6" s="30" t="s">
        <v>35</v>
      </c>
      <c r="B6" s="30"/>
      <c r="C6" s="34" t="s">
        <v>37</v>
      </c>
      <c r="D6" s="34"/>
    </row>
    <row r="7" spans="1:8" x14ac:dyDescent="0.45">
      <c r="A7" s="28" t="s">
        <v>34</v>
      </c>
      <c r="B7" s="28"/>
    </row>
    <row r="8" spans="1:8" x14ac:dyDescent="0.45">
      <c r="A8" s="31" t="s">
        <v>36</v>
      </c>
      <c r="B8" s="31"/>
      <c r="C8" s="35" t="s">
        <v>38</v>
      </c>
      <c r="D8" s="35"/>
      <c r="F8" s="36" t="s">
        <v>39</v>
      </c>
      <c r="G8" s="36"/>
      <c r="H8" s="36"/>
    </row>
    <row r="10" spans="1:8" x14ac:dyDescent="0.45">
      <c r="B10" s="28" t="s">
        <v>27</v>
      </c>
      <c r="C10" s="28"/>
      <c r="D10" s="28"/>
      <c r="E10" s="2"/>
      <c r="F10" s="28" t="s">
        <v>28</v>
      </c>
      <c r="G10" s="28"/>
      <c r="H10" s="28"/>
    </row>
    <row r="11" spans="1:8" x14ac:dyDescent="0.45">
      <c r="B11" s="1" t="s">
        <v>29</v>
      </c>
      <c r="C11" s="1" t="s">
        <v>30</v>
      </c>
      <c r="D11" s="1" t="s">
        <v>31</v>
      </c>
      <c r="E11" s="2"/>
      <c r="F11" s="1" t="s">
        <v>29</v>
      </c>
      <c r="G11" s="1" t="s">
        <v>30</v>
      </c>
      <c r="H11" s="1" t="s">
        <v>31</v>
      </c>
    </row>
    <row r="12" spans="1:8" x14ac:dyDescent="0.45">
      <c r="A12" s="2" t="s">
        <v>25</v>
      </c>
      <c r="B12" s="8">
        <v>27</v>
      </c>
      <c r="C12" s="8">
        <v>43.927</v>
      </c>
      <c r="D12" s="8"/>
      <c r="E12" s="4"/>
      <c r="F12" s="8">
        <v>82</v>
      </c>
      <c r="G12" s="8">
        <v>42.1</v>
      </c>
      <c r="H12" s="8"/>
    </row>
    <row r="13" spans="1:8" x14ac:dyDescent="0.45">
      <c r="A13" s="2"/>
    </row>
    <row r="14" spans="1:8" x14ac:dyDescent="0.45">
      <c r="B14" s="28" t="s">
        <v>27</v>
      </c>
      <c r="C14" s="28"/>
      <c r="D14" s="28"/>
      <c r="E14" s="2"/>
      <c r="F14" s="28" t="s">
        <v>28</v>
      </c>
      <c r="G14" s="28"/>
      <c r="H14" s="28"/>
    </row>
    <row r="15" spans="1:8" x14ac:dyDescent="0.45">
      <c r="B15" s="1" t="s">
        <v>29</v>
      </c>
      <c r="C15" s="1" t="s">
        <v>30</v>
      </c>
      <c r="D15" s="1" t="s">
        <v>31</v>
      </c>
      <c r="E15" s="2"/>
      <c r="F15" s="1" t="s">
        <v>29</v>
      </c>
      <c r="G15" s="1" t="s">
        <v>30</v>
      </c>
      <c r="H15" s="1" t="s">
        <v>31</v>
      </c>
    </row>
    <row r="16" spans="1:8" x14ac:dyDescent="0.45">
      <c r="A16" s="2" t="s">
        <v>26</v>
      </c>
      <c r="B16" s="8">
        <v>27</v>
      </c>
      <c r="C16" s="8">
        <v>43.963000000000001</v>
      </c>
      <c r="D16" s="8"/>
      <c r="E16" s="4"/>
      <c r="F16" s="8">
        <v>82</v>
      </c>
      <c r="G16" s="8">
        <v>42.100099999999998</v>
      </c>
      <c r="H16" s="8"/>
    </row>
    <row r="19" spans="2:5" x14ac:dyDescent="0.45">
      <c r="B19" s="9" t="s">
        <v>40</v>
      </c>
      <c r="C19" s="3"/>
      <c r="D19" s="5" cm="1">
        <f t="array" ref="D19">Table1[nm]</f>
        <v>3.6004228932560826E-2</v>
      </c>
      <c r="E19" s="3" t="s">
        <v>20</v>
      </c>
    </row>
    <row r="20" spans="2:5" x14ac:dyDescent="0.45">
      <c r="B20" s="9"/>
      <c r="C20" s="3"/>
      <c r="D20" s="6" cm="1">
        <f t="array" ref="D20">Table1[yds]</f>
        <v>72.921951040879676</v>
      </c>
      <c r="E20" s="3" t="s">
        <v>41</v>
      </c>
    </row>
    <row r="21" spans="2:5" x14ac:dyDescent="0.45">
      <c r="B21" s="9"/>
      <c r="C21" s="3"/>
      <c r="D21" s="7" cm="1">
        <f t="array" ref="D21">Table1[ft]</f>
        <v>218.76585312263902</v>
      </c>
      <c r="E21" s="3" t="s">
        <v>42</v>
      </c>
    </row>
    <row r="22" spans="2:5" x14ac:dyDescent="0.45">
      <c r="B22" s="9"/>
      <c r="C22" s="3"/>
      <c r="D22" s="3"/>
      <c r="E22" s="3"/>
    </row>
    <row r="23" spans="2:5" x14ac:dyDescent="0.45">
      <c r="B23" s="9" t="s">
        <v>48</v>
      </c>
      <c r="C23" s="3"/>
      <c r="D23" s="5" t="str" cm="1">
        <f t="array" ref="D23">IFERROR("",Table1[Brg T])</f>
        <v/>
      </c>
      <c r="E23" s="3" t="s">
        <v>43</v>
      </c>
    </row>
    <row r="45" spans="1:8" ht="18" x14ac:dyDescent="0.55000000000000004">
      <c r="A45" s="27" t="s">
        <v>51</v>
      </c>
      <c r="B45" s="27"/>
      <c r="C45" s="27"/>
      <c r="D45" s="27"/>
      <c r="E45" s="27"/>
      <c r="F45" s="27"/>
      <c r="G45" s="27"/>
      <c r="H45" s="27"/>
    </row>
    <row r="46" spans="1:8" ht="18" x14ac:dyDescent="0.55000000000000004">
      <c r="A46" s="27" t="s">
        <v>50</v>
      </c>
      <c r="B46" s="27"/>
      <c r="C46" s="27"/>
      <c r="D46" s="27"/>
      <c r="E46" s="27"/>
      <c r="F46" s="27"/>
      <c r="G46" s="27"/>
      <c r="H46" s="27"/>
    </row>
  </sheetData>
  <sheetProtection algorithmName="SHA-512" hashValue="hDEHb5ACXVENb7dH3EPF1dj2ZIGShzF5NB5X5nXy/JgFhW01rDSGeOA4+yrJzv5Y7MbSseQIeXuZTMs2NYusWA==" saltValue="ZjMtldqXII/Bma+Yvc8mkg==" spinCount="100000" sheet="1" objects="1" scenarios="1" selectLockedCells="1"/>
  <mergeCells count="17">
    <mergeCell ref="F8:H8"/>
    <mergeCell ref="A46:H46"/>
    <mergeCell ref="A45:H45"/>
    <mergeCell ref="A1:H1"/>
    <mergeCell ref="B10:D10"/>
    <mergeCell ref="F10:H10"/>
    <mergeCell ref="B14:D14"/>
    <mergeCell ref="F14:H14"/>
    <mergeCell ref="A4:B4"/>
    <mergeCell ref="A6:B6"/>
    <mergeCell ref="A5:B5"/>
    <mergeCell ref="A7:B7"/>
    <mergeCell ref="A8:B8"/>
    <mergeCell ref="A3:E3"/>
    <mergeCell ref="C4:D4"/>
    <mergeCell ref="C6:D6"/>
    <mergeCell ref="C8:D8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74F99-61ED-4D58-B907-B100FA954348}">
  <dimension ref="A1:Z53"/>
  <sheetViews>
    <sheetView workbookViewId="0">
      <selection sqref="A1:XFD1048576"/>
    </sheetView>
  </sheetViews>
  <sheetFormatPr defaultRowHeight="14.25" x14ac:dyDescent="0.45"/>
  <cols>
    <col min="1" max="1" width="13.06640625" style="14" customWidth="1"/>
    <col min="2" max="2" width="12" style="14" customWidth="1"/>
    <col min="3" max="3" width="12.3984375" style="14" customWidth="1"/>
    <col min="4" max="4" width="14.53125" style="14" customWidth="1"/>
    <col min="5" max="5" width="13.06640625" style="14" customWidth="1"/>
    <col min="6" max="6" width="13.73046875" style="14" customWidth="1"/>
    <col min="7" max="7" width="14.3984375" style="14" customWidth="1"/>
    <col min="8" max="8" width="12.6640625" style="14" customWidth="1"/>
    <col min="9" max="9" width="11.33203125" style="14" customWidth="1"/>
    <col min="10" max="10" width="12.796875" style="14" customWidth="1"/>
    <col min="11" max="25" width="11.06640625" style="14" customWidth="1"/>
    <col min="26" max="16384" width="9.06640625" style="14"/>
  </cols>
  <sheetData>
    <row r="1" spans="1:26" x14ac:dyDescent="0.45">
      <c r="A1" s="10" t="s">
        <v>7</v>
      </c>
      <c r="B1" s="10" t="s">
        <v>8</v>
      </c>
      <c r="C1" s="10" t="s">
        <v>9</v>
      </c>
      <c r="D1" s="10" t="s">
        <v>10</v>
      </c>
      <c r="E1" s="10" t="s">
        <v>11</v>
      </c>
      <c r="F1" s="10" t="s">
        <v>12</v>
      </c>
      <c r="G1" s="10" t="s">
        <v>13</v>
      </c>
      <c r="H1" s="10" t="s">
        <v>14</v>
      </c>
      <c r="I1" s="10" t="s">
        <v>15</v>
      </c>
      <c r="J1" s="10" t="s">
        <v>16</v>
      </c>
      <c r="K1" s="11" t="s">
        <v>17</v>
      </c>
      <c r="L1" s="11" t="s">
        <v>18</v>
      </c>
      <c r="M1" s="11" t="s">
        <v>19</v>
      </c>
      <c r="N1" s="11" t="s">
        <v>20</v>
      </c>
      <c r="O1" s="11" t="s">
        <v>21</v>
      </c>
      <c r="P1" s="11" t="s">
        <v>22</v>
      </c>
      <c r="Q1" s="11" t="s">
        <v>23</v>
      </c>
      <c r="R1" s="11" t="s">
        <v>24</v>
      </c>
      <c r="S1" s="12" t="s">
        <v>0</v>
      </c>
      <c r="T1" s="12" t="s">
        <v>1</v>
      </c>
      <c r="U1" s="13" t="s">
        <v>2</v>
      </c>
      <c r="V1" s="13" t="s">
        <v>3</v>
      </c>
      <c r="W1" s="13" t="s">
        <v>4</v>
      </c>
      <c r="X1" s="13" t="s">
        <v>5</v>
      </c>
      <c r="Y1" s="13" t="s">
        <v>6</v>
      </c>
      <c r="Z1" s="13"/>
    </row>
    <row r="2" spans="1:26" s="26" customFormat="1" x14ac:dyDescent="0.45">
      <c r="A2" s="19">
        <f>B15</f>
        <v>27.732116666666666</v>
      </c>
      <c r="B2" s="19">
        <f>B16</f>
        <v>82.701666666666668</v>
      </c>
      <c r="C2" s="20">
        <f>B18</f>
        <v>27.732716666666668</v>
      </c>
      <c r="D2" s="20">
        <f>B19</f>
        <v>82.70166833333333</v>
      </c>
      <c r="E2" s="21">
        <f>Table1[[#This Row],[Lat 1 Deg]]*PI()/180</f>
        <v>0.48401674438052811</v>
      </c>
      <c r="F2" s="21">
        <f>Table1[[#This Row],[Lon 1 Deg]]*PI()/180</f>
        <v>1.4434163802201772</v>
      </c>
      <c r="G2" s="21">
        <f>Table1[[#This Row],[Lat 2 Deg]]*PI()/180</f>
        <v>0.48402721635604012</v>
      </c>
      <c r="H2" s="21">
        <f>Table1[[#This Row],[Lon 2 Deg]]*PI()/180</f>
        <v>1.4434164093089978</v>
      </c>
      <c r="I2" s="21">
        <f>Table1[[#This Row],[Lat 2 Rad]]-Table1[[#This Row],[Lat 1 Rad]]</f>
        <v>1.0471975512016396E-5</v>
      </c>
      <c r="J2" s="21">
        <f>Table1[[#This Row],[Lon 2 Rad]]-Table1[[#This Row],[Lon 1 Rad]]</f>
        <v>2.9088820685529981E-8</v>
      </c>
      <c r="K2" s="21">
        <v>3438.1402119999998</v>
      </c>
      <c r="L2" s="21">
        <f>(SIN(Table1[[#This Row],[Del Lat Rad]]/2))^2+COS(Table1[[#This Row],[Lat 1 Rad]])*COS(Table1[[#This Row],[Lat 2 Rad]])*(SIN(Table1[[#This Row],[Del Lon Rad]]/2))^2</f>
        <v>2.7415733512994859E-11</v>
      </c>
      <c r="M2" s="21">
        <f>2*ATAN2(SQRT(1-Table1[[#This Row],[a]]),SQRT(Table1[[#This Row],[a]]))</f>
        <v>1.0472007164482921E-5</v>
      </c>
      <c r="N2" s="22">
        <f>Table1[[#This Row],[c]]*Table1[[#This Row],[R nm]]</f>
        <v>3.6004228932560826E-2</v>
      </c>
      <c r="O2" s="23">
        <f>Table1[[#This Row],[ft]]/3</f>
        <v>72.921951040879676</v>
      </c>
      <c r="P2" s="22">
        <f>Table1[[#This Row],[nm]]*6076.11549</f>
        <v>218.76585312263902</v>
      </c>
      <c r="Q2" s="24">
        <f>MOD(ATAN2((COS(Table1[[#This Row],[Lat 1 Rad]])*SIN(Table1[[#This Row],[Lat 2 Rad]]))-(SIN(Table1[[#This Row],[Lat 1 Rad]])*COS(Table1[[#This Row],[Lat 2 Rad]])*COS(Table1[[#This Row],[Lon 2 Rad]]-Table1[[#This Row],[Lon 1 Rad]])), SIN(Table1[[#This Row],[Lon 2 Rad]]-Table1[[#This Row],[Lon 1 Rad]])*COS(Table1[[#This Row],[Lat 2 Rad]])),2*PI())</f>
        <v>2.4586840589774948E-3</v>
      </c>
      <c r="R2" s="25">
        <f>Table1[[#This Row],[Brg]]*180/PI()</f>
        <v>0.14087221973550482</v>
      </c>
      <c r="S2" s="21"/>
      <c r="T2" s="21"/>
      <c r="U2" s="21"/>
      <c r="V2" s="21"/>
      <c r="W2" s="21"/>
      <c r="X2" s="21"/>
      <c r="Y2" s="21"/>
      <c r="Z2" s="21"/>
    </row>
    <row r="3" spans="1:26" x14ac:dyDescent="0.45">
      <c r="A3" s="13"/>
      <c r="B3" s="13"/>
      <c r="C3" s="13"/>
      <c r="D3" s="13"/>
      <c r="E3" s="13"/>
      <c r="F3" s="13"/>
      <c r="G3" s="13"/>
      <c r="H3" s="13"/>
      <c r="I3" s="13"/>
      <c r="J3" s="13"/>
      <c r="K3" s="21">
        <v>3440.2752999999998</v>
      </c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x14ac:dyDescent="0.4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x14ac:dyDescent="0.45">
      <c r="A5" s="13"/>
      <c r="B5" s="13"/>
      <c r="C5" s="13"/>
      <c r="D5" s="13"/>
      <c r="E5" s="13"/>
      <c r="F5" s="16"/>
      <c r="G5" s="13"/>
      <c r="H5" s="13"/>
      <c r="I5" s="13"/>
      <c r="J5" s="13"/>
      <c r="K5" s="17"/>
      <c r="L5" s="13"/>
      <c r="M5" s="13"/>
      <c r="N5" s="13"/>
      <c r="O5" s="15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x14ac:dyDescent="0.4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1"/>
      <c r="Q6" s="11"/>
      <c r="R6" s="11"/>
      <c r="S6" s="11"/>
      <c r="T6" s="13"/>
      <c r="U6" s="11"/>
      <c r="V6" s="11"/>
      <c r="W6" s="11"/>
      <c r="X6" s="11"/>
      <c r="Y6" s="13"/>
      <c r="Z6" s="13"/>
    </row>
    <row r="7" spans="1:26" x14ac:dyDescent="0.4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x14ac:dyDescent="0.4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x14ac:dyDescent="0.4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x14ac:dyDescent="0.4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x14ac:dyDescent="0.4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x14ac:dyDescent="0.4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x14ac:dyDescent="0.4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x14ac:dyDescent="0.4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x14ac:dyDescent="0.45">
      <c r="A15" s="13" t="s">
        <v>44</v>
      </c>
      <c r="B15" s="18">
        <f>'Distance &amp; Bearing'!B12+'Distance &amp; Bearing'!C12/60+'Distance &amp; Bearing'!D12/60/60</f>
        <v>27.732116666666666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x14ac:dyDescent="0.45">
      <c r="A16" s="13" t="s">
        <v>45</v>
      </c>
      <c r="B16" s="18">
        <f>'Distance &amp; Bearing'!F12+'Distance &amp; Bearing'!G12/60+'Distance &amp; Bearing'!H12/60/60</f>
        <v>82.701666666666668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x14ac:dyDescent="0.4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x14ac:dyDescent="0.45">
      <c r="A18" s="13" t="s">
        <v>46</v>
      </c>
      <c r="B18" s="18">
        <f>'Distance &amp; Bearing'!B16+'Distance &amp; Bearing'!C16/60+'Distance &amp; Bearing'!D16/60/60</f>
        <v>27.732716666666668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x14ac:dyDescent="0.45">
      <c r="A19" s="13" t="s">
        <v>47</v>
      </c>
      <c r="B19" s="18">
        <f>'Distance &amp; Bearing'!F16+'Distance &amp; Bearing'!G16/60+'Distance &amp; Bearing'!H16/60/60</f>
        <v>82.70166833333333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x14ac:dyDescent="0.4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x14ac:dyDescent="0.4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x14ac:dyDescent="0.4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x14ac:dyDescent="0.4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x14ac:dyDescent="0.4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x14ac:dyDescent="0.4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x14ac:dyDescent="0.4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x14ac:dyDescent="0.4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x14ac:dyDescent="0.4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x14ac:dyDescent="0.4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x14ac:dyDescent="0.4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x14ac:dyDescent="0.4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x14ac:dyDescent="0.4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x14ac:dyDescent="0.4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x14ac:dyDescent="0.4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x14ac:dyDescent="0.4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x14ac:dyDescent="0.4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x14ac:dyDescent="0.4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x14ac:dyDescent="0.4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x14ac:dyDescent="0.4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x14ac:dyDescent="0.4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x14ac:dyDescent="0.4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x14ac:dyDescent="0.4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x14ac:dyDescent="0.4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x14ac:dyDescent="0.4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x14ac:dyDescent="0.4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x14ac:dyDescent="0.4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x14ac:dyDescent="0.4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x14ac:dyDescent="0.4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x14ac:dyDescent="0.4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x14ac:dyDescent="0.4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x14ac:dyDescent="0.45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x14ac:dyDescent="0.4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x14ac:dyDescent="0.4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</sheetData>
  <sheetProtection algorithmName="SHA-512" hashValue="bfrmqV/nbrWCtHTb/dMJp7RokxDrNBjtUJQFOVAmA5l3onBy4uAN9vRZHqeNUtdvLaXiWHVpNcNE9KqjQQ8Ruw==" saltValue="uctwbvk7f8bgXdeTqAM+aQ==" spinCount="100000" sheet="1" objects="1" scenarios="1" selectLockedCells="1" selectUnlockedCells="1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Distance &amp; Bearing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Hooper</dc:creator>
  <cp:lastModifiedBy>Tony Hooper</cp:lastModifiedBy>
  <cp:lastPrinted>2022-09-11T22:29:49Z</cp:lastPrinted>
  <dcterms:created xsi:type="dcterms:W3CDTF">2021-09-18T21:39:32Z</dcterms:created>
  <dcterms:modified xsi:type="dcterms:W3CDTF">2022-09-23T22:08:17Z</dcterms:modified>
</cp:coreProperties>
</file>